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 10 " sheetId="1" r:id="rId1"/>
  </sheets>
  <definedNames>
    <definedName name="_xlfn.AGGREGATE" hidden="1">#NAME?</definedName>
    <definedName name="_xlnm.Print_Titles" localSheetId="0">'дод 10 '!$5:$6</definedName>
  </definedNames>
  <calcPr fullCalcOnLoad="1"/>
</workbook>
</file>

<file path=xl/sharedStrings.xml><?xml version="1.0" encoding="utf-8"?>
<sst xmlns="http://schemas.openxmlformats.org/spreadsheetml/2006/main" count="100" uniqueCount="100">
  <si>
    <t>Інша діяльність у сфері житлово-комунального господарства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</si>
  <si>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</si>
  <si>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</si>
  <si>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</si>
  <si>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</si>
  <si>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</si>
  <si>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</si>
  <si>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</si>
  <si>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</si>
  <si>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</si>
  <si>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</si>
  <si>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</si>
  <si>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</si>
  <si>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</si>
  <si>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</si>
  <si>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</si>
  <si>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</si>
  <si>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</si>
  <si>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</si>
  <si>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</si>
  <si>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</si>
  <si>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</si>
  <si>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</si>
  <si>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</si>
  <si>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</si>
  <si>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</si>
  <si>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</si>
  <si>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</si>
  <si>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</si>
  <si>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</si>
  <si>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</si>
  <si>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</si>
  <si>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</si>
  <si>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</si>
  <si>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</si>
  <si>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</si>
  <si>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</si>
  <si>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</si>
  <si>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</si>
  <si>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знесення дерев на кладовищах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</si>
  <si>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</si>
  <si>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</si>
  <si>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</si>
  <si>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</si>
  <si>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</si>
  <si>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</si>
  <si>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</si>
  <si>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</si>
  <si>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>облаштування клумб, декоративних композицій та газонів</t>
  </si>
  <si>
    <t>на утримання та оновлення майна парків та скверів  (фінансова підтримка КП "Дирекція парків")</t>
  </si>
  <si>
    <t>1.2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</si>
  <si>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</si>
  <si>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Загальний фонд, грн.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</si>
  <si>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</si>
  <si>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</si>
  <si>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ВИДАТКИ НА ЖИТЛОВО-КОМУНАЛЬНЕ ГОСПОДАРСТВО ЗА РАХУНОК КОШТІВ МІСЬКОГО БЮДЖЕТУ У 2020 РОЦІ</t>
  </si>
  <si>
    <t>забезпечення екологічного  безпечного збирання, перевезення, зберігання та утилізації відходів (фінансова підтримка КП "Черкаська служба чистоти")</t>
  </si>
  <si>
    <t>нагляд за станом електромереж та устаткування (фінансова підтримка КП "Міськсвітло")</t>
  </si>
  <si>
    <t>із них</t>
  </si>
  <si>
    <t>бюджет розвитку</t>
  </si>
  <si>
    <t>Експлуатаційне та технічне обслуговування житлового фонду</t>
  </si>
  <si>
    <t>Капітальний ремонт,  реконструкція житлового фонду 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роки), в т.ч.:</t>
  </si>
  <si>
    <t>Капітальний ремонт прибудинкової території житлових будинків 17 та 17/1 по вул.Митницькій</t>
  </si>
  <si>
    <t>Забезпечення надійної та безперебійної експлуатації ліфтів</t>
  </si>
  <si>
    <t>Капітальний ремонт житлових будинків (ліфтів) (крім ОСББ та ЖБК) (Програма співфінансування  капітального ремонту та реконструкції багатоквартирних житлових  будинків та їх прибудинкових територій (крім ОСББ та ЖБК) у місті Черкаси на 2019-2022 роки)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</si>
  <si>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</si>
  <si>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</si>
  <si>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</si>
  <si>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</si>
  <si>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</si>
  <si>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</si>
  <si>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</si>
  <si>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</si>
  <si>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</si>
  <si>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</si>
  <si>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</si>
  <si>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</t>
  </si>
  <si>
    <t>4.1</t>
  </si>
  <si>
    <t>5.</t>
  </si>
  <si>
    <t>5.1</t>
  </si>
  <si>
    <t>Організація місць відпочинку на комунальних пляжах міста, в т.ч.:</t>
  </si>
  <si>
    <t>Утримання питних фонтанчиків, в т.ч.:</t>
  </si>
  <si>
    <t>Обслуговування водяних завіс, в т.ч.:</t>
  </si>
  <si>
    <t>3.14</t>
  </si>
  <si>
    <t>3.15</t>
  </si>
  <si>
    <t>3.16</t>
  </si>
  <si>
    <t>3.17</t>
  </si>
  <si>
    <t>Придбання та встановлення обладнання для дитячого майданчика у дворі будників Хрещатик 130, Пушкіна 39 у м.Черкаси</t>
  </si>
  <si>
    <t xml:space="preserve">Придбання та встановлення обладнання для дитячого майданчика у дворі будників 23, 27 по вул. Вернигори в м. Черкаси </t>
  </si>
  <si>
    <t xml:space="preserve">Придбання та встановлення обладнання для дитячого майданчика у дворі будників 25, 29, 31 по вул. Вернигори та будинку №1 по вул. Десантників </t>
  </si>
  <si>
    <t>Придбання та встановлення елементів для майданчика для вигулу та дресирування собак по вул. Г.Дніпра біля будинку 73</t>
  </si>
  <si>
    <t>Капітальний ремонт, реконструкція житлового фонду ОСББ  (Програма підтримки об'єднань співвласників багатоквартирних будинків (ОСББ, асоціацій ОСББ) у м. Черкаси "Формування відповідального власника житла" на 2019-2020 роки), на умовах співфінансування</t>
  </si>
  <si>
    <t xml:space="preserve">% виконання </t>
  </si>
  <si>
    <t>Спеціальний фонд, грн.</t>
  </si>
  <si>
    <t>утримання газонів на бульварі Шевченка та вулицях міста</t>
  </si>
  <si>
    <t>Капітальний ремонт прибудинкової території житлового будинку по вул. В. Чорновола, 122/41 в м.Черкаси</t>
  </si>
  <si>
    <t xml:space="preserve">Капітальний ремонт системи опалення  житлового будинку (встановлення циркуляційного насосу з погодженим регулятором температури)  по вул. В. Чорновола, 9 м.Черкаси </t>
  </si>
  <si>
    <t>Капітальний ремонт  житлового будинку  по вул. Благовісна,180 (покрівля)</t>
  </si>
  <si>
    <t>утримання меморіального комплксу "Пагорб Слави" (фінансова підтримка КП "Комбінат комунальних підприємств")</t>
  </si>
  <si>
    <t>Профінансовано станом на 31.03.2020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</si>
</sst>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  <numFmt numFmtId="209" formatCode="#,##0.000\ _₽"/>
    <numFmt numFmtId="210" formatCode="#,##0.0\ _₽"/>
    <numFmt numFmtId="211" formatCode="#,##0\ _₽"/>
    <numFmt numFmtId="212" formatCode="#,##0.0000\ _₽"/>
    <numFmt numFmtId="213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6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19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left" vertical="center" wrapText="1" readingOrder="1"/>
    </xf>
    <xf numFmtId="0" fontId="34" fillId="52" borderId="15" xfId="0" applyFont="1" applyFill="1" applyBorder="1" applyAlignment="1">
      <alignment horizontal="left" vertical="center" wrapText="1" readingOrder="1"/>
    </xf>
    <xf numFmtId="0" fontId="28" fillId="52" borderId="15" xfId="0" applyFont="1" applyFill="1" applyBorder="1" applyAlignment="1">
      <alignment horizontal="left" vertical="center" wrapText="1" readingOrder="1"/>
    </xf>
    <xf numFmtId="0" fontId="33" fillId="53" borderId="15" xfId="0" applyFont="1" applyFill="1" applyBorder="1" applyAlignment="1">
      <alignment horizontal="left" vertical="center" wrapText="1" readingOrder="1"/>
    </xf>
    <xf numFmtId="0" fontId="34" fillId="52" borderId="15" xfId="0" applyFont="1" applyFill="1" applyBorder="1" applyAlignment="1">
      <alignment horizontal="left" vertical="center" wrapText="1" readingOrder="1"/>
    </xf>
    <xf numFmtId="49" fontId="29" fillId="0" borderId="14" xfId="0" applyNumberFormat="1" applyFont="1" applyFill="1" applyBorder="1" applyAlignment="1">
      <alignment horizontal="center" vertical="center"/>
    </xf>
    <xf numFmtId="0" fontId="33" fillId="53" borderId="14" xfId="0" applyNumberFormat="1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left" vertical="center" wrapText="1" readingOrder="1"/>
    </xf>
    <xf numFmtId="0" fontId="4" fillId="52" borderId="0" xfId="0" applyFont="1" applyFill="1" applyAlignment="1">
      <alignment/>
    </xf>
    <xf numFmtId="0" fontId="0" fillId="52" borderId="0" xfId="0" applyFont="1" applyFill="1" applyAlignment="1">
      <alignment/>
    </xf>
    <xf numFmtId="208" fontId="32" fillId="0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34" fillId="54" borderId="15" xfId="0" applyFont="1" applyFill="1" applyBorder="1" applyAlignment="1">
      <alignment horizontal="left" vertical="center" wrapText="1" readingOrder="1"/>
    </xf>
    <xf numFmtId="208" fontId="32" fillId="0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208" fontId="4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3" fillId="54" borderId="0" xfId="0" applyFont="1" applyFill="1" applyBorder="1" applyAlignment="1">
      <alignment horizontal="center" wrapText="1"/>
    </xf>
    <xf numFmtId="0" fontId="34" fillId="52" borderId="17" xfId="0" applyFont="1" applyFill="1" applyBorder="1" applyAlignment="1">
      <alignment horizontal="left" vertical="center" wrapText="1" readingOrder="1"/>
    </xf>
    <xf numFmtId="0" fontId="33" fillId="53" borderId="18" xfId="0" applyFont="1" applyFill="1" applyBorder="1" applyAlignment="1">
      <alignment horizontal="left" vertical="center" wrapText="1" readingOrder="1"/>
    </xf>
    <xf numFmtId="208" fontId="33" fillId="53" borderId="19" xfId="0" applyNumberFormat="1" applyFont="1" applyFill="1" applyBorder="1" applyAlignment="1">
      <alignment horizontal="center" vertical="center" wrapText="1" readingOrder="1"/>
    </xf>
    <xf numFmtId="208" fontId="27" fillId="0" borderId="20" xfId="0" applyNumberFormat="1" applyFont="1" applyFill="1" applyBorder="1" applyAlignment="1">
      <alignment horizontal="center" vertical="center" wrapText="1" readingOrder="1"/>
    </xf>
    <xf numFmtId="208" fontId="27" fillId="0" borderId="21" xfId="0" applyNumberFormat="1" applyFont="1" applyFill="1" applyBorder="1" applyAlignment="1">
      <alignment horizontal="center" vertical="center" wrapText="1" readingOrder="1"/>
    </xf>
    <xf numFmtId="208" fontId="34" fillId="0" borderId="20" xfId="0" applyNumberFormat="1" applyFont="1" applyFill="1" applyBorder="1" applyAlignment="1">
      <alignment horizontal="center" vertical="center" wrapText="1" readingOrder="1"/>
    </xf>
    <xf numFmtId="208" fontId="34" fillId="0" borderId="14" xfId="0" applyNumberFormat="1" applyFont="1" applyFill="1" applyBorder="1" applyAlignment="1">
      <alignment horizontal="center" vertical="center" wrapText="1" readingOrder="1"/>
    </xf>
    <xf numFmtId="208" fontId="27" fillId="52" borderId="22" xfId="0" applyNumberFormat="1" applyFont="1" applyFill="1" applyBorder="1" applyAlignment="1">
      <alignment horizontal="center" vertical="center" wrapText="1" readingOrder="1"/>
    </xf>
    <xf numFmtId="208" fontId="27" fillId="52" borderId="21" xfId="0" applyNumberFormat="1" applyFont="1" applyFill="1" applyBorder="1" applyAlignment="1">
      <alignment horizontal="center" vertical="center" wrapText="1" readingOrder="1"/>
    </xf>
    <xf numFmtId="208" fontId="34" fillId="52" borderId="21" xfId="0" applyNumberFormat="1" applyFont="1" applyFill="1" applyBorder="1" applyAlignment="1">
      <alignment horizontal="center" vertical="center" wrapText="1" readingOrder="1"/>
    </xf>
    <xf numFmtId="208" fontId="27" fillId="52" borderId="20" xfId="0" applyNumberFormat="1" applyFont="1" applyFill="1" applyBorder="1" applyAlignment="1">
      <alignment horizontal="center" vertical="center" wrapText="1" readingOrder="1"/>
    </xf>
    <xf numFmtId="208" fontId="32" fillId="0" borderId="14" xfId="0" applyNumberFormat="1" applyFont="1" applyFill="1" applyBorder="1" applyAlignment="1">
      <alignment horizontal="center"/>
    </xf>
    <xf numFmtId="208" fontId="4" fillId="0" borderId="14" xfId="0" applyNumberFormat="1" applyFont="1" applyFill="1" applyBorder="1" applyAlignment="1">
      <alignment horizontal="center" vertical="center"/>
    </xf>
    <xf numFmtId="208" fontId="34" fillId="54" borderId="21" xfId="0" applyNumberFormat="1" applyFont="1" applyFill="1" applyBorder="1" applyAlignment="1">
      <alignment horizontal="center" vertical="center" wrapText="1" readingOrder="1"/>
    </xf>
    <xf numFmtId="208" fontId="27" fillId="52" borderId="21" xfId="0" applyNumberFormat="1" applyFont="1" applyFill="1" applyBorder="1" applyAlignment="1">
      <alignment horizontal="center" vertical="center" wrapText="1" readingOrder="1"/>
    </xf>
    <xf numFmtId="208" fontId="33" fillId="53" borderId="21" xfId="0" applyNumberFormat="1" applyFont="1" applyFill="1" applyBorder="1" applyAlignment="1">
      <alignment horizontal="center" vertical="center" wrapText="1" readingOrder="1"/>
    </xf>
    <xf numFmtId="208" fontId="28" fillId="52" borderId="21" xfId="0" applyNumberFormat="1" applyFont="1" applyFill="1" applyBorder="1" applyAlignment="1">
      <alignment horizontal="center" vertical="center" wrapText="1" readingOrder="1"/>
    </xf>
    <xf numFmtId="208" fontId="33" fillId="54" borderId="14" xfId="0" applyNumberFormat="1" applyFont="1" applyFill="1" applyBorder="1" applyAlignment="1">
      <alignment horizontal="center" vertical="center" wrapText="1" readingOrder="1"/>
    </xf>
    <xf numFmtId="208" fontId="33" fillId="54" borderId="0" xfId="0" applyNumberFormat="1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33" fillId="53" borderId="0" xfId="0" applyFont="1" applyFill="1" applyBorder="1" applyAlignment="1">
      <alignment horizontal="left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4" fillId="52" borderId="17" xfId="0" applyFont="1" applyFill="1" applyBorder="1" applyAlignment="1">
      <alignment horizontal="left" vertical="center" wrapText="1" readingOrder="1"/>
    </xf>
    <xf numFmtId="0" fontId="0" fillId="0" borderId="14" xfId="0" applyBorder="1" applyAlignment="1">
      <alignment horizontal="center" vertical="center" wrapText="1" readingOrder="1"/>
    </xf>
    <xf numFmtId="208" fontId="34" fillId="52" borderId="14" xfId="0" applyNumberFormat="1" applyFont="1" applyFill="1" applyBorder="1" applyAlignment="1">
      <alignment horizontal="center" vertical="center" wrapText="1" readingOrder="1"/>
    </xf>
    <xf numFmtId="0" fontId="32" fillId="0" borderId="14" xfId="0" applyFont="1" applyBorder="1" applyAlignment="1">
      <alignment horizontal="center" vertical="center" wrapText="1" readingOrder="1"/>
    </xf>
    <xf numFmtId="208" fontId="28" fillId="52" borderId="14" xfId="0" applyNumberFormat="1" applyFont="1" applyFill="1" applyBorder="1" applyAlignment="1">
      <alignment horizontal="center" vertical="center" wrapText="1" readingOrder="1"/>
    </xf>
    <xf numFmtId="208" fontId="0" fillId="0" borderId="14" xfId="0" applyNumberFormat="1" applyBorder="1" applyAlignment="1">
      <alignment horizontal="center" vertical="center" wrapText="1" readingOrder="1"/>
    </xf>
    <xf numFmtId="208" fontId="32" fillId="0" borderId="14" xfId="0" applyNumberFormat="1" applyFont="1" applyBorder="1" applyAlignment="1">
      <alignment horizontal="center" vertical="center" wrapText="1" readingOrder="1"/>
    </xf>
    <xf numFmtId="208" fontId="34" fillId="52" borderId="14" xfId="0" applyNumberFormat="1" applyFont="1" applyFill="1" applyBorder="1" applyAlignment="1">
      <alignment horizontal="center" vertical="center" wrapText="1" readingOrder="1"/>
    </xf>
    <xf numFmtId="49" fontId="33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5" fillId="55" borderId="14" xfId="0" applyFont="1" applyFill="1" applyBorder="1" applyAlignment="1">
      <alignment/>
    </xf>
    <xf numFmtId="208" fontId="33" fillId="55" borderId="21" xfId="0" applyNumberFormat="1" applyFont="1" applyFill="1" applyBorder="1" applyAlignment="1">
      <alignment horizontal="center" vertical="center" wrapText="1" readingOrder="1"/>
    </xf>
    <xf numFmtId="4" fontId="4" fillId="54" borderId="14" xfId="94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4" fontId="35" fillId="55" borderId="14" xfId="0" applyNumberFormat="1" applyFont="1" applyFill="1" applyBorder="1" applyAlignment="1">
      <alignment horizontal="center" vertical="center" readingOrder="1"/>
    </xf>
    <xf numFmtId="4" fontId="35" fillId="55" borderId="14" xfId="0" applyNumberFormat="1" applyFont="1" applyFill="1" applyBorder="1" applyAlignment="1">
      <alignment horizontal="center" vertical="center" wrapText="1" readingOrder="1"/>
    </xf>
    <xf numFmtId="0" fontId="35" fillId="55" borderId="14" xfId="0" applyFont="1" applyFill="1" applyBorder="1" applyAlignment="1">
      <alignment horizontal="center" vertical="center" wrapText="1" readingOrder="1"/>
    </xf>
    <xf numFmtId="208" fontId="33" fillId="55" borderId="14" xfId="0" applyNumberFormat="1" applyFont="1" applyFill="1" applyBorder="1" applyAlignment="1">
      <alignment horizontal="center" vertical="center" wrapText="1" readingOrder="1"/>
    </xf>
    <xf numFmtId="208" fontId="35" fillId="55" borderId="14" xfId="0" applyNumberFormat="1" applyFont="1" applyFill="1" applyBorder="1" applyAlignment="1">
      <alignment horizontal="center" vertical="center" wrapText="1"/>
    </xf>
    <xf numFmtId="186" fontId="0" fillId="0" borderId="14" xfId="0" applyNumberFormat="1" applyFill="1" applyBorder="1" applyAlignment="1">
      <alignment horizontal="center" vertical="center"/>
    </xf>
    <xf numFmtId="208" fontId="35" fillId="55" borderId="14" xfId="0" applyNumberFormat="1" applyFont="1" applyFill="1" applyBorder="1" applyAlignment="1">
      <alignment horizontal="center" vertical="center"/>
    </xf>
    <xf numFmtId="208" fontId="0" fillId="0" borderId="14" xfId="0" applyNumberFormat="1" applyFill="1" applyBorder="1" applyAlignment="1">
      <alignment horizontal="center" vertical="center"/>
    </xf>
    <xf numFmtId="186" fontId="35" fillId="55" borderId="14" xfId="0" applyNumberFormat="1" applyFont="1" applyFill="1" applyBorder="1" applyAlignment="1">
      <alignment horizontal="center" vertical="center"/>
    </xf>
    <xf numFmtId="186" fontId="35" fillId="55" borderId="14" xfId="0" applyNumberFormat="1" applyFont="1" applyFill="1" applyBorder="1" applyAlignment="1">
      <alignment horizontal="center" vertical="center" readingOrder="1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 vertical="center"/>
    </xf>
    <xf numFmtId="186" fontId="32" fillId="0" borderId="1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33" fillId="54" borderId="14" xfId="0" applyFont="1" applyFill="1" applyBorder="1" applyAlignment="1">
      <alignment horizont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readingOrder="1"/>
    </xf>
    <xf numFmtId="0" fontId="0" fillId="0" borderId="27" xfId="0" applyBorder="1" applyAlignment="1">
      <alignment horizontal="center" vertical="center" readingOrder="1"/>
    </xf>
    <xf numFmtId="0" fontId="27" fillId="0" borderId="25" xfId="0" applyFont="1" applyFill="1" applyBorder="1" applyAlignment="1">
      <alignment horizontal="center" vertical="center" wrapText="1" readingOrder="1"/>
    </xf>
    <xf numFmtId="0" fontId="0" fillId="0" borderId="24" xfId="0" applyBorder="1" applyAlignment="1">
      <alignment horizontal="center" vertical="center" wrapText="1" readingOrder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яснення" xfId="124"/>
    <cellStyle name="Текст предупреждения" xfId="125"/>
    <cellStyle name="Тысячи [0]_Розподіл (2)" xfId="126"/>
    <cellStyle name="Тысячи_Розподіл (2)" xfId="127"/>
    <cellStyle name="Comma" xfId="128"/>
    <cellStyle name="Comma [0]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17" zoomScaleNormal="117" zoomScalePageLayoutView="0" workbookViewId="0" topLeftCell="A14">
      <selection activeCell="E8" sqref="E8"/>
    </sheetView>
  </sheetViews>
  <sheetFormatPr defaultColWidth="8.66015625" defaultRowHeight="12.75"/>
  <cols>
    <col min="1" max="1" width="8.33203125" style="1" customWidth="1"/>
    <col min="2" max="2" width="48" style="2" customWidth="1"/>
    <col min="3" max="3" width="20.33203125" style="4" customWidth="1"/>
    <col min="4" max="4" width="23.33203125" style="4" customWidth="1"/>
    <col min="5" max="5" width="15.83203125" style="1" customWidth="1"/>
    <col min="6" max="6" width="16.66015625" style="1" customWidth="1"/>
    <col min="7" max="7" width="17.66015625" style="1" customWidth="1"/>
    <col min="8" max="8" width="14.33203125" style="1" customWidth="1"/>
    <col min="9" max="16384" width="8.66015625" style="1" customWidth="1"/>
  </cols>
  <sheetData>
    <row r="1" spans="5:6" ht="84" customHeight="1">
      <c r="E1" s="87"/>
      <c r="F1" s="87"/>
    </row>
    <row r="2" ht="21" customHeight="1">
      <c r="B2" s="5"/>
    </row>
    <row r="3" spans="1:6" ht="13.5">
      <c r="A3" s="90" t="s">
        <v>55</v>
      </c>
      <c r="B3" s="90"/>
      <c r="C3" s="90"/>
      <c r="D3" s="90"/>
      <c r="E3" s="90"/>
      <c r="F3" s="90"/>
    </row>
    <row r="4" ht="15.75" customHeight="1">
      <c r="B4" s="5"/>
    </row>
    <row r="5" spans="1:8" ht="18.75" customHeight="1">
      <c r="A5" s="92" t="s">
        <v>32</v>
      </c>
      <c r="B5" s="94" t="s">
        <v>33</v>
      </c>
      <c r="C5" s="96" t="s">
        <v>5</v>
      </c>
      <c r="D5" s="96" t="s">
        <v>52</v>
      </c>
      <c r="E5" s="88" t="s">
        <v>93</v>
      </c>
      <c r="F5" s="47" t="s">
        <v>58</v>
      </c>
      <c r="G5" s="83" t="s">
        <v>99</v>
      </c>
      <c r="H5" s="85" t="s">
        <v>92</v>
      </c>
    </row>
    <row r="6" spans="1:8" ht="26.25" customHeight="1">
      <c r="A6" s="93"/>
      <c r="B6" s="95"/>
      <c r="C6" s="97"/>
      <c r="D6" s="97"/>
      <c r="E6" s="89"/>
      <c r="F6" s="48" t="s">
        <v>59</v>
      </c>
      <c r="G6" s="84"/>
      <c r="H6" s="86"/>
    </row>
    <row r="7" spans="1:8" ht="37.5" customHeight="1">
      <c r="A7" s="14">
        <v>1</v>
      </c>
      <c r="B7" s="49" t="s">
        <v>60</v>
      </c>
      <c r="C7" s="70">
        <f>D7+E7</f>
        <v>27368000</v>
      </c>
      <c r="D7" s="71"/>
      <c r="E7" s="72">
        <f>E8+E13</f>
        <v>27368000</v>
      </c>
      <c r="F7" s="72">
        <f>F8+F13</f>
        <v>27368000</v>
      </c>
      <c r="G7" s="75">
        <f>G8+G9+G10+G11+G13</f>
        <v>0</v>
      </c>
      <c r="H7" s="77">
        <f>(G7/C7)*100</f>
        <v>0</v>
      </c>
    </row>
    <row r="8" spans="1:8" ht="76.5" customHeight="1">
      <c r="A8" s="7" t="s">
        <v>26</v>
      </c>
      <c r="B8" s="50" t="s">
        <v>61</v>
      </c>
      <c r="C8" s="56">
        <f aca="true" t="shared" si="0" ref="C8:C13">E8+D8</f>
        <v>2368000</v>
      </c>
      <c r="D8" s="52"/>
      <c r="E8" s="55">
        <f aca="true" t="shared" si="1" ref="E8:E13">F8</f>
        <v>2368000</v>
      </c>
      <c r="F8" s="55">
        <f>F9+F10+F11+F12+1000000</f>
        <v>2368000</v>
      </c>
      <c r="G8" s="76"/>
      <c r="H8" s="74">
        <f aca="true" t="shared" si="2" ref="H8:H70">(G8/C8)*100</f>
        <v>0</v>
      </c>
    </row>
    <row r="9" spans="1:8" ht="26.25" customHeight="1">
      <c r="A9" s="46"/>
      <c r="B9" s="51" t="s">
        <v>62</v>
      </c>
      <c r="C9" s="57">
        <f t="shared" si="0"/>
        <v>430000</v>
      </c>
      <c r="D9" s="54"/>
      <c r="E9" s="58">
        <f t="shared" si="1"/>
        <v>430000</v>
      </c>
      <c r="F9" s="53">
        <v>430000</v>
      </c>
      <c r="G9" s="76"/>
      <c r="H9" s="81">
        <f t="shared" si="2"/>
        <v>0</v>
      </c>
    </row>
    <row r="10" spans="1:8" ht="37.5" customHeight="1">
      <c r="A10" s="46"/>
      <c r="B10" s="51" t="s">
        <v>95</v>
      </c>
      <c r="C10" s="57">
        <f t="shared" si="0"/>
        <v>393000</v>
      </c>
      <c r="D10" s="54"/>
      <c r="E10" s="58">
        <f t="shared" si="1"/>
        <v>393000</v>
      </c>
      <c r="F10" s="53">
        <v>393000</v>
      </c>
      <c r="G10" s="76"/>
      <c r="H10" s="81">
        <f t="shared" si="2"/>
        <v>0</v>
      </c>
    </row>
    <row r="11" spans="1:8" ht="52.5" customHeight="1">
      <c r="A11" s="46"/>
      <c r="B11" s="51" t="s">
        <v>96</v>
      </c>
      <c r="C11" s="57">
        <f t="shared" si="0"/>
        <v>300000</v>
      </c>
      <c r="D11" s="54"/>
      <c r="E11" s="58">
        <f t="shared" si="1"/>
        <v>300000</v>
      </c>
      <c r="F11" s="53">
        <v>300000</v>
      </c>
      <c r="G11" s="76"/>
      <c r="H11" s="81">
        <f t="shared" si="2"/>
        <v>0</v>
      </c>
    </row>
    <row r="12" spans="1:8" ht="37.5" customHeight="1">
      <c r="A12" s="46"/>
      <c r="B12" s="51" t="s">
        <v>97</v>
      </c>
      <c r="C12" s="57">
        <f t="shared" si="0"/>
        <v>245000</v>
      </c>
      <c r="D12" s="54"/>
      <c r="E12" s="58">
        <f t="shared" si="1"/>
        <v>245000</v>
      </c>
      <c r="F12" s="53">
        <v>245000</v>
      </c>
      <c r="G12" s="76"/>
      <c r="H12" s="81">
        <f t="shared" si="2"/>
        <v>0</v>
      </c>
    </row>
    <row r="13" spans="1:8" ht="77.25" customHeight="1">
      <c r="A13" s="7" t="s">
        <v>50</v>
      </c>
      <c r="B13" s="50" t="s">
        <v>91</v>
      </c>
      <c r="C13" s="56">
        <f t="shared" si="0"/>
        <v>25000000</v>
      </c>
      <c r="D13" s="52"/>
      <c r="E13" s="55">
        <f t="shared" si="1"/>
        <v>25000000</v>
      </c>
      <c r="F13" s="55">
        <f>15000000+10000000</f>
        <v>25000000</v>
      </c>
      <c r="G13" s="76"/>
      <c r="H13" s="74">
        <f t="shared" si="2"/>
        <v>0</v>
      </c>
    </row>
    <row r="14" spans="1:8" ht="43.5" customHeight="1">
      <c r="A14" s="59" t="s">
        <v>37</v>
      </c>
      <c r="B14" s="60" t="s">
        <v>63</v>
      </c>
      <c r="C14" s="73">
        <f>D14+E14</f>
        <v>3800000</v>
      </c>
      <c r="D14" s="71"/>
      <c r="E14" s="73">
        <f>E15</f>
        <v>3800000</v>
      </c>
      <c r="F14" s="73">
        <f>F15</f>
        <v>3800000</v>
      </c>
      <c r="G14" s="75">
        <f>G15</f>
        <v>0</v>
      </c>
      <c r="H14" s="77">
        <f t="shared" si="2"/>
        <v>0</v>
      </c>
    </row>
    <row r="15" spans="1:8" ht="74.25" customHeight="1">
      <c r="A15" s="7" t="s">
        <v>45</v>
      </c>
      <c r="B15" s="50" t="s">
        <v>64</v>
      </c>
      <c r="C15" s="56">
        <f>E15+D15</f>
        <v>3800000</v>
      </c>
      <c r="D15" s="52"/>
      <c r="E15" s="55">
        <f>F15</f>
        <v>3800000</v>
      </c>
      <c r="F15" s="55">
        <f>5000000-1200000</f>
        <v>3800000</v>
      </c>
      <c r="G15" s="76"/>
      <c r="H15" s="74">
        <f t="shared" si="2"/>
        <v>0</v>
      </c>
    </row>
    <row r="16" spans="1:8" s="3" customFormat="1" ht="33.75" customHeight="1">
      <c r="A16" s="14" t="s">
        <v>38</v>
      </c>
      <c r="B16" s="28" t="s">
        <v>35</v>
      </c>
      <c r="C16" s="29">
        <f aca="true" t="shared" si="3" ref="C16:C46">D16+E16</f>
        <v>79260393</v>
      </c>
      <c r="D16" s="29">
        <f>D17+D23+D30+D34+D40+D43+D46+D49+D52+D55+D56+D59</f>
        <v>77580393</v>
      </c>
      <c r="E16" s="69">
        <f>F16</f>
        <v>1680000</v>
      </c>
      <c r="F16" s="69">
        <f>F62+F63+F64+F65</f>
        <v>1680000</v>
      </c>
      <c r="G16" s="29">
        <f>G17+G23+G30+G34+G40+G43+G46+G49+G52+G55+G56+G59+G62+G63+G64+G65</f>
        <v>13786679.66</v>
      </c>
      <c r="H16" s="78">
        <f t="shared" si="2"/>
        <v>17.394160107179886</v>
      </c>
    </row>
    <row r="17" spans="1:8" ht="25.5">
      <c r="A17" s="13" t="s">
        <v>14</v>
      </c>
      <c r="B17" s="15" t="s">
        <v>46</v>
      </c>
      <c r="C17" s="30">
        <f t="shared" si="3"/>
        <v>22852434</v>
      </c>
      <c r="D17" s="31">
        <f>D18+D19+D20+D21+D22</f>
        <v>22852434</v>
      </c>
      <c r="E17" s="61"/>
      <c r="F17" s="61"/>
      <c r="G17" s="39">
        <f>G18+G19+G20+G21+G22</f>
        <v>5171921.499999999</v>
      </c>
      <c r="H17" s="79">
        <f t="shared" si="2"/>
        <v>22.631819000111754</v>
      </c>
    </row>
    <row r="18" spans="1:8" ht="25.5">
      <c r="A18" s="6"/>
      <c r="B18" s="20" t="s">
        <v>53</v>
      </c>
      <c r="C18" s="32">
        <f t="shared" si="3"/>
        <v>5452680</v>
      </c>
      <c r="D18" s="32">
        <v>5452680</v>
      </c>
      <c r="E18" s="62"/>
      <c r="F18" s="62"/>
      <c r="G18" s="18">
        <f>401213+257306+190259</f>
        <v>848778</v>
      </c>
      <c r="H18" s="81">
        <f t="shared" si="2"/>
        <v>15.566253658751291</v>
      </c>
    </row>
    <row r="19" spans="1:8" ht="13.5">
      <c r="A19" s="6"/>
      <c r="B19" s="12" t="s">
        <v>24</v>
      </c>
      <c r="C19" s="32">
        <f t="shared" si="3"/>
        <v>13293766</v>
      </c>
      <c r="D19" s="32">
        <v>13293766</v>
      </c>
      <c r="E19" s="61"/>
      <c r="F19" s="61"/>
      <c r="G19" s="18">
        <f>1894053.92+1540358.88</f>
        <v>3434412.8</v>
      </c>
      <c r="H19" s="81">
        <f t="shared" si="2"/>
        <v>25.834761947818247</v>
      </c>
    </row>
    <row r="20" spans="1:8" ht="25.5">
      <c r="A20" s="6"/>
      <c r="B20" s="20" t="s">
        <v>54</v>
      </c>
      <c r="C20" s="32">
        <f t="shared" si="3"/>
        <v>1046719</v>
      </c>
      <c r="D20" s="32">
        <v>1046719</v>
      </c>
      <c r="E20" s="61"/>
      <c r="F20" s="61"/>
      <c r="G20" s="18">
        <f>35065.24+37721.96+6714.8+37505.24+45735.86+6714.8+37505.24+42416.59</f>
        <v>249379.72999999995</v>
      </c>
      <c r="H20" s="81">
        <f t="shared" si="2"/>
        <v>23.82489760862275</v>
      </c>
    </row>
    <row r="21" spans="1:8" ht="25.5">
      <c r="A21" s="6"/>
      <c r="B21" s="20" t="s">
        <v>57</v>
      </c>
      <c r="C21" s="32">
        <f t="shared" si="3"/>
        <v>1359220</v>
      </c>
      <c r="D21" s="32">
        <v>1359220</v>
      </c>
      <c r="E21" s="61"/>
      <c r="F21" s="61"/>
      <c r="G21" s="18">
        <f>49644.23+35382.33+45744.83+39281.73+44056.76+40969.8</f>
        <v>255079.68</v>
      </c>
      <c r="H21" s="81">
        <f t="shared" si="2"/>
        <v>18.766622033224937</v>
      </c>
    </row>
    <row r="22" spans="1:8" ht="13.5">
      <c r="A22" s="6"/>
      <c r="B22" s="27" t="s">
        <v>6</v>
      </c>
      <c r="C22" s="33">
        <f t="shared" si="3"/>
        <v>1700049</v>
      </c>
      <c r="D22" s="33">
        <v>1700049</v>
      </c>
      <c r="E22" s="61"/>
      <c r="F22" s="61"/>
      <c r="G22" s="18">
        <f>146927.28+113814.47+21815.27+101714.27</f>
        <v>384271.29000000004</v>
      </c>
      <c r="H22" s="81">
        <f t="shared" si="2"/>
        <v>22.60354201555367</v>
      </c>
    </row>
    <row r="23" spans="1:8" ht="25.5">
      <c r="A23" s="13" t="s">
        <v>65</v>
      </c>
      <c r="B23" s="8" t="s">
        <v>27</v>
      </c>
      <c r="C23" s="34">
        <f t="shared" si="3"/>
        <v>12656559</v>
      </c>
      <c r="D23" s="35">
        <f>SUM(D24:D29)</f>
        <v>12656559</v>
      </c>
      <c r="E23" s="61"/>
      <c r="F23" s="61"/>
      <c r="G23" s="39">
        <f>G24+G25+G26+G27+G28+G29</f>
        <v>2099658</v>
      </c>
      <c r="H23" s="79">
        <f t="shared" si="2"/>
        <v>16.589485341157893</v>
      </c>
    </row>
    <row r="24" spans="1:8" ht="13.5">
      <c r="A24" s="7"/>
      <c r="B24" s="12" t="s">
        <v>7</v>
      </c>
      <c r="C24" s="36">
        <f t="shared" si="3"/>
        <v>4000000</v>
      </c>
      <c r="D24" s="36">
        <v>4000000</v>
      </c>
      <c r="E24" s="61"/>
      <c r="F24" s="61"/>
      <c r="G24" s="18"/>
      <c r="H24" s="81">
        <f t="shared" si="2"/>
        <v>0</v>
      </c>
    </row>
    <row r="25" spans="1:8" ht="13.5">
      <c r="A25" s="7"/>
      <c r="B25" s="9" t="s">
        <v>41</v>
      </c>
      <c r="C25" s="36">
        <f t="shared" si="3"/>
        <v>200000</v>
      </c>
      <c r="D25" s="36">
        <v>200000</v>
      </c>
      <c r="E25" s="61"/>
      <c r="F25" s="61"/>
      <c r="G25" s="18">
        <v>197980</v>
      </c>
      <c r="H25" s="81">
        <f t="shared" si="2"/>
        <v>98.99</v>
      </c>
    </row>
    <row r="26" spans="1:8" ht="25.5">
      <c r="A26" s="7"/>
      <c r="B26" s="9" t="s">
        <v>94</v>
      </c>
      <c r="C26" s="36">
        <f t="shared" si="3"/>
        <v>1000000</v>
      </c>
      <c r="D26" s="36">
        <v>1000000</v>
      </c>
      <c r="E26" s="61"/>
      <c r="F26" s="61"/>
      <c r="G26" s="18"/>
      <c r="H26" s="81">
        <f t="shared" si="2"/>
        <v>0</v>
      </c>
    </row>
    <row r="27" spans="1:8" ht="13.5">
      <c r="A27" s="7"/>
      <c r="B27" s="12" t="s">
        <v>8</v>
      </c>
      <c r="C27" s="36">
        <f t="shared" si="3"/>
        <v>950000</v>
      </c>
      <c r="D27" s="36">
        <v>950000</v>
      </c>
      <c r="E27" s="61"/>
      <c r="F27" s="61"/>
      <c r="G27" s="18"/>
      <c r="H27" s="81">
        <f t="shared" si="2"/>
        <v>0</v>
      </c>
    </row>
    <row r="28" spans="1:8" ht="51.75">
      <c r="A28" s="7"/>
      <c r="B28" s="12" t="s">
        <v>9</v>
      </c>
      <c r="C28" s="36">
        <f t="shared" si="3"/>
        <v>4800000</v>
      </c>
      <c r="D28" s="36">
        <v>4800000</v>
      </c>
      <c r="E28" s="61"/>
      <c r="F28" s="61"/>
      <c r="G28" s="18">
        <f>954078+143920+567715+235965</f>
        <v>1901678</v>
      </c>
      <c r="H28" s="81">
        <f t="shared" si="2"/>
        <v>39.618291666666664</v>
      </c>
    </row>
    <row r="29" spans="1:8" ht="25.5">
      <c r="A29" s="7"/>
      <c r="B29" s="9" t="s">
        <v>48</v>
      </c>
      <c r="C29" s="36">
        <f t="shared" si="3"/>
        <v>1706559</v>
      </c>
      <c r="D29" s="36">
        <v>1706559</v>
      </c>
      <c r="E29" s="61"/>
      <c r="F29" s="61"/>
      <c r="G29" s="18"/>
      <c r="H29" s="81">
        <f t="shared" si="2"/>
        <v>0</v>
      </c>
    </row>
    <row r="30" spans="1:8" ht="25.5">
      <c r="A30" s="13" t="s">
        <v>66</v>
      </c>
      <c r="B30" s="8" t="s">
        <v>28</v>
      </c>
      <c r="C30" s="37">
        <f t="shared" si="3"/>
        <v>1989579</v>
      </c>
      <c r="D30" s="35">
        <f>SUM(D31:D33)</f>
        <v>1989579</v>
      </c>
      <c r="E30" s="61"/>
      <c r="F30" s="61"/>
      <c r="G30" s="39">
        <f>G31+G32+G33</f>
        <v>0</v>
      </c>
      <c r="H30" s="79">
        <f t="shared" si="2"/>
        <v>0</v>
      </c>
    </row>
    <row r="31" spans="1:8" ht="13.5">
      <c r="A31" s="7"/>
      <c r="B31" s="12" t="s">
        <v>16</v>
      </c>
      <c r="C31" s="38">
        <f t="shared" si="3"/>
        <v>1453192</v>
      </c>
      <c r="D31" s="38">
        <v>1453192</v>
      </c>
      <c r="E31" s="61"/>
      <c r="F31" s="61"/>
      <c r="G31" s="18"/>
      <c r="H31" s="81">
        <f t="shared" si="2"/>
        <v>0</v>
      </c>
    </row>
    <row r="32" spans="1:8" ht="25.5">
      <c r="A32" s="7"/>
      <c r="B32" s="12" t="s">
        <v>17</v>
      </c>
      <c r="C32" s="38">
        <f t="shared" si="3"/>
        <v>250037</v>
      </c>
      <c r="D32" s="18">
        <v>250037</v>
      </c>
      <c r="E32" s="61"/>
      <c r="F32" s="61"/>
      <c r="G32" s="18"/>
      <c r="H32" s="81">
        <f t="shared" si="2"/>
        <v>0</v>
      </c>
    </row>
    <row r="33" spans="1:8" ht="13.5">
      <c r="A33" s="7"/>
      <c r="B33" s="12" t="s">
        <v>18</v>
      </c>
      <c r="C33" s="38">
        <f t="shared" si="3"/>
        <v>286350</v>
      </c>
      <c r="D33" s="38">
        <v>286350</v>
      </c>
      <c r="E33" s="61"/>
      <c r="F33" s="61"/>
      <c r="G33" s="18"/>
      <c r="H33" s="81">
        <f t="shared" si="2"/>
        <v>0</v>
      </c>
    </row>
    <row r="34" spans="1:8" ht="13.5">
      <c r="A34" s="13" t="s">
        <v>67</v>
      </c>
      <c r="B34" s="8" t="s">
        <v>10</v>
      </c>
      <c r="C34" s="37">
        <f t="shared" si="3"/>
        <v>6331199</v>
      </c>
      <c r="D34" s="35">
        <f>SUM(D35:D39)</f>
        <v>6331199</v>
      </c>
      <c r="E34" s="61"/>
      <c r="F34" s="61"/>
      <c r="G34" s="39">
        <f>G35+G36+G37+G38+G39</f>
        <v>1472091.21</v>
      </c>
      <c r="H34" s="79">
        <f t="shared" si="2"/>
        <v>23.25138113649563</v>
      </c>
    </row>
    <row r="35" spans="1:8" ht="25.5">
      <c r="A35" s="7"/>
      <c r="B35" s="9" t="s">
        <v>47</v>
      </c>
      <c r="C35" s="36">
        <f t="shared" si="3"/>
        <v>4126700</v>
      </c>
      <c r="D35" s="36">
        <f>3881700+245000</f>
        <v>4126700</v>
      </c>
      <c r="E35" s="61"/>
      <c r="F35" s="61"/>
      <c r="G35" s="18">
        <f>44965.83+109371.04+10642.4+65286.1+80610+93996.8+27853.1+57559.25+113273.07+2725.92+2200</f>
        <v>608483.51</v>
      </c>
      <c r="H35" s="81">
        <f t="shared" si="2"/>
        <v>14.745038650737877</v>
      </c>
    </row>
    <row r="36" spans="1:8" ht="13.5">
      <c r="A36" s="7"/>
      <c r="B36" s="9" t="s">
        <v>39</v>
      </c>
      <c r="C36" s="36">
        <f t="shared" si="3"/>
        <v>530000</v>
      </c>
      <c r="D36" s="36">
        <v>530000</v>
      </c>
      <c r="E36" s="61"/>
      <c r="F36" s="61"/>
      <c r="G36" s="18">
        <f>330100+199900</f>
        <v>530000</v>
      </c>
      <c r="H36" s="81">
        <f t="shared" si="2"/>
        <v>100</v>
      </c>
    </row>
    <row r="37" spans="1:8" ht="51.75">
      <c r="A37" s="7"/>
      <c r="B37" s="9" t="s">
        <v>51</v>
      </c>
      <c r="C37" s="36">
        <f t="shared" si="3"/>
        <v>1592600</v>
      </c>
      <c r="D37" s="36">
        <v>1592600</v>
      </c>
      <c r="E37" s="61"/>
      <c r="F37" s="61"/>
      <c r="G37" s="18">
        <f>20784.53+77635.98+25006.89+33120+74635.6+25006.89+63605.26+2289.8+6908</f>
        <v>328992.95</v>
      </c>
      <c r="H37" s="81">
        <f t="shared" si="2"/>
        <v>20.657600778601033</v>
      </c>
    </row>
    <row r="38" spans="1:8" ht="13.5">
      <c r="A38" s="7"/>
      <c r="B38" s="12" t="s">
        <v>19</v>
      </c>
      <c r="C38" s="36">
        <f t="shared" si="3"/>
        <v>66700</v>
      </c>
      <c r="D38" s="36">
        <v>66700</v>
      </c>
      <c r="E38" s="61"/>
      <c r="F38" s="61"/>
      <c r="G38" s="18">
        <f>273.53+389.88</f>
        <v>663.41</v>
      </c>
      <c r="H38" s="81">
        <f t="shared" si="2"/>
        <v>0.9946176911544228</v>
      </c>
    </row>
    <row r="39" spans="1:8" ht="13.5">
      <c r="A39" s="7"/>
      <c r="B39" s="12" t="s">
        <v>20</v>
      </c>
      <c r="C39" s="36">
        <f t="shared" si="3"/>
        <v>15199</v>
      </c>
      <c r="D39" s="36">
        <v>15199</v>
      </c>
      <c r="E39" s="61"/>
      <c r="F39" s="61"/>
      <c r="G39" s="18">
        <f>2435.81+1515.53</f>
        <v>3951.34</v>
      </c>
      <c r="H39" s="81">
        <f t="shared" si="2"/>
        <v>25.997368247911044</v>
      </c>
    </row>
    <row r="40" spans="1:8" ht="13.5">
      <c r="A40" s="13" t="s">
        <v>68</v>
      </c>
      <c r="B40" s="8" t="s">
        <v>29</v>
      </c>
      <c r="C40" s="35">
        <f t="shared" si="3"/>
        <v>4154900</v>
      </c>
      <c r="D40" s="35">
        <f>SUM(D41:D42)</f>
        <v>4154900</v>
      </c>
      <c r="E40" s="61"/>
      <c r="F40" s="61"/>
      <c r="G40" s="39">
        <f>G41+G42</f>
        <v>0</v>
      </c>
      <c r="H40" s="79">
        <f t="shared" si="2"/>
        <v>0</v>
      </c>
    </row>
    <row r="41" spans="1:8" ht="24" customHeight="1">
      <c r="A41" s="7"/>
      <c r="B41" s="9" t="s">
        <v>40</v>
      </c>
      <c r="C41" s="18">
        <f t="shared" si="3"/>
        <v>4054900</v>
      </c>
      <c r="D41" s="18">
        <f>3006500+1048400</f>
        <v>4054900</v>
      </c>
      <c r="E41" s="61"/>
      <c r="F41" s="61"/>
      <c r="G41" s="18"/>
      <c r="H41" s="81">
        <f t="shared" si="2"/>
        <v>0</v>
      </c>
    </row>
    <row r="42" spans="1:8" ht="51.75">
      <c r="A42" s="7"/>
      <c r="B42" s="20" t="s">
        <v>56</v>
      </c>
      <c r="C42" s="18">
        <f t="shared" si="3"/>
        <v>100000</v>
      </c>
      <c r="D42" s="21">
        <v>100000</v>
      </c>
      <c r="E42" s="61"/>
      <c r="F42" s="61"/>
      <c r="G42" s="18"/>
      <c r="H42" s="81">
        <f t="shared" si="2"/>
        <v>0</v>
      </c>
    </row>
    <row r="43" spans="1:8" ht="30" customHeight="1">
      <c r="A43" s="13" t="s">
        <v>69</v>
      </c>
      <c r="B43" s="15" t="s">
        <v>80</v>
      </c>
      <c r="C43" s="35">
        <f t="shared" si="3"/>
        <v>2025786</v>
      </c>
      <c r="D43" s="35">
        <f>SUM(D44:D45)</f>
        <v>2025786</v>
      </c>
      <c r="E43" s="61"/>
      <c r="F43" s="61"/>
      <c r="G43" s="39">
        <f>G44+G45</f>
        <v>414882.23999999993</v>
      </c>
      <c r="H43" s="79">
        <f t="shared" si="2"/>
        <v>20.48006255349775</v>
      </c>
    </row>
    <row r="44" spans="1:8" ht="25.5">
      <c r="A44" s="7"/>
      <c r="B44" s="9" t="s">
        <v>30</v>
      </c>
      <c r="C44" s="18">
        <f t="shared" si="3"/>
        <v>1767786</v>
      </c>
      <c r="D44" s="18">
        <f>1299893+467893</f>
        <v>1767786</v>
      </c>
      <c r="E44" s="61"/>
      <c r="F44" s="61"/>
      <c r="G44" s="18">
        <f>49995.35+49995.36+88311.75+88285.7+69147.04+69147.04</f>
        <v>414882.23999999993</v>
      </c>
      <c r="H44" s="81">
        <f t="shared" si="2"/>
        <v>23.46903075372245</v>
      </c>
    </row>
    <row r="45" spans="1:8" ht="25.5">
      <c r="A45" s="7"/>
      <c r="B45" s="9" t="s">
        <v>31</v>
      </c>
      <c r="C45" s="18">
        <f t="shared" si="3"/>
        <v>258000</v>
      </c>
      <c r="D45" s="18">
        <v>258000</v>
      </c>
      <c r="E45" s="61"/>
      <c r="F45" s="61"/>
      <c r="G45" s="18"/>
      <c r="H45" s="81">
        <f t="shared" si="2"/>
        <v>0</v>
      </c>
    </row>
    <row r="46" spans="1:8" ht="25.5">
      <c r="A46" s="13" t="s">
        <v>70</v>
      </c>
      <c r="B46" s="8" t="s">
        <v>34</v>
      </c>
      <c r="C46" s="39">
        <f t="shared" si="3"/>
        <v>25077688</v>
      </c>
      <c r="D46" s="35">
        <f>SUM(D47:D48)</f>
        <v>25077688</v>
      </c>
      <c r="E46" s="61"/>
      <c r="F46" s="61"/>
      <c r="G46" s="39">
        <f>G47+G48</f>
        <v>4383060.340000001</v>
      </c>
      <c r="H46" s="79">
        <f t="shared" si="2"/>
        <v>17.477928348099717</v>
      </c>
    </row>
    <row r="47" spans="1:8" ht="39">
      <c r="A47" s="7"/>
      <c r="B47" s="9" t="s">
        <v>44</v>
      </c>
      <c r="C47" s="18">
        <f aca="true" t="shared" si="4" ref="C47:C65">D47+E47</f>
        <v>23265088</v>
      </c>
      <c r="D47" s="18">
        <f>12843600+5660800-1804400+6565088</f>
        <v>23265088</v>
      </c>
      <c r="E47" s="61"/>
      <c r="F47" s="61"/>
      <c r="G47" s="18">
        <f>462122.05+204350+682662.4+729363.3+3699.82+591827.95+1836+146611.58+691769.98+680265.98</f>
        <v>4194509.0600000005</v>
      </c>
      <c r="H47" s="81">
        <f t="shared" si="2"/>
        <v>18.029199201825502</v>
      </c>
    </row>
    <row r="48" spans="1:8" ht="25.5">
      <c r="A48" s="7"/>
      <c r="B48" s="9" t="s">
        <v>49</v>
      </c>
      <c r="C48" s="18">
        <f t="shared" si="4"/>
        <v>1812600</v>
      </c>
      <c r="D48" s="18">
        <f>1133683+678917</f>
        <v>1812600</v>
      </c>
      <c r="E48" s="61"/>
      <c r="F48" s="61"/>
      <c r="G48" s="18">
        <f>564+564+187423.28</f>
        <v>188551.28</v>
      </c>
      <c r="H48" s="81">
        <f t="shared" si="2"/>
        <v>10.402255323844201</v>
      </c>
    </row>
    <row r="49" spans="1:8" ht="25.5">
      <c r="A49" s="13" t="s">
        <v>71</v>
      </c>
      <c r="B49" s="8" t="s">
        <v>11</v>
      </c>
      <c r="C49" s="35">
        <f t="shared" si="4"/>
        <v>530000</v>
      </c>
      <c r="D49" s="35">
        <f>SUM(D50:D51)</f>
        <v>530000</v>
      </c>
      <c r="E49" s="61"/>
      <c r="F49" s="61"/>
      <c r="G49" s="39">
        <f>G50+G51</f>
        <v>0</v>
      </c>
      <c r="H49" s="79">
        <f t="shared" si="2"/>
        <v>0</v>
      </c>
    </row>
    <row r="50" spans="1:8" ht="25.5">
      <c r="A50" s="7"/>
      <c r="B50" s="12" t="s">
        <v>12</v>
      </c>
      <c r="C50" s="36">
        <f t="shared" si="4"/>
        <v>130000</v>
      </c>
      <c r="D50" s="36">
        <f>160000-30000</f>
        <v>130000</v>
      </c>
      <c r="E50" s="61"/>
      <c r="F50" s="61"/>
      <c r="G50" s="18"/>
      <c r="H50" s="81">
        <f t="shared" si="2"/>
        <v>0</v>
      </c>
    </row>
    <row r="51" spans="1:8" ht="39">
      <c r="A51" s="7"/>
      <c r="B51" s="9" t="s">
        <v>98</v>
      </c>
      <c r="C51" s="36">
        <f t="shared" si="4"/>
        <v>400000</v>
      </c>
      <c r="D51" s="36">
        <v>400000</v>
      </c>
      <c r="E51" s="61"/>
      <c r="F51" s="61"/>
      <c r="G51" s="18"/>
      <c r="H51" s="81"/>
    </row>
    <row r="52" spans="1:8" ht="23.25" customHeight="1">
      <c r="A52" s="13" t="s">
        <v>72</v>
      </c>
      <c r="B52" s="8" t="s">
        <v>25</v>
      </c>
      <c r="C52" s="35">
        <f t="shared" si="4"/>
        <v>1599421</v>
      </c>
      <c r="D52" s="35">
        <f>SUM(D53:D54)</f>
        <v>1599421</v>
      </c>
      <c r="E52" s="61"/>
      <c r="F52" s="61"/>
      <c r="G52" s="39">
        <f>G53+G54</f>
        <v>180195.41</v>
      </c>
      <c r="H52" s="79">
        <f t="shared" si="2"/>
        <v>11.26629011373491</v>
      </c>
    </row>
    <row r="53" spans="1:8" ht="13.5">
      <c r="A53" s="13"/>
      <c r="B53" s="20" t="s">
        <v>21</v>
      </c>
      <c r="C53" s="40">
        <f t="shared" si="4"/>
        <v>1500050</v>
      </c>
      <c r="D53" s="40">
        <v>1500050</v>
      </c>
      <c r="E53" s="61"/>
      <c r="F53" s="61"/>
      <c r="G53" s="18">
        <v>172496.91</v>
      </c>
      <c r="H53" s="81">
        <f t="shared" si="2"/>
        <v>11.499410686310457</v>
      </c>
    </row>
    <row r="54" spans="1:8" ht="13.5">
      <c r="A54" s="13"/>
      <c r="B54" s="12" t="s">
        <v>1</v>
      </c>
      <c r="C54" s="40">
        <f t="shared" si="4"/>
        <v>99371</v>
      </c>
      <c r="D54" s="36">
        <v>99371</v>
      </c>
      <c r="E54" s="61"/>
      <c r="F54" s="61"/>
      <c r="G54" s="18">
        <f>4482.24+3216.26</f>
        <v>7698.5</v>
      </c>
      <c r="H54" s="81">
        <f t="shared" si="2"/>
        <v>7.747230077185496</v>
      </c>
    </row>
    <row r="55" spans="1:8" ht="13.5">
      <c r="A55" s="13" t="s">
        <v>73</v>
      </c>
      <c r="B55" s="8" t="s">
        <v>2</v>
      </c>
      <c r="C55" s="41">
        <f t="shared" si="4"/>
        <v>243800</v>
      </c>
      <c r="D55" s="41">
        <v>243800</v>
      </c>
      <c r="E55" s="61"/>
      <c r="F55" s="61"/>
      <c r="G55" s="39">
        <f>13370.96+51500</f>
        <v>64870.96</v>
      </c>
      <c r="H55" s="79">
        <f t="shared" si="2"/>
        <v>26.608269073010664</v>
      </c>
    </row>
    <row r="56" spans="1:8" ht="13.5">
      <c r="A56" s="13" t="s">
        <v>74</v>
      </c>
      <c r="B56" s="15" t="s">
        <v>81</v>
      </c>
      <c r="C56" s="41">
        <f t="shared" si="4"/>
        <v>116200</v>
      </c>
      <c r="D56" s="41">
        <f>SUM(D57:D58)</f>
        <v>116200</v>
      </c>
      <c r="E56" s="61"/>
      <c r="F56" s="61"/>
      <c r="G56" s="39">
        <f>G57+G58</f>
        <v>0</v>
      </c>
      <c r="H56" s="79">
        <f t="shared" si="2"/>
        <v>0</v>
      </c>
    </row>
    <row r="57" spans="1:8" ht="13.5">
      <c r="A57" s="13"/>
      <c r="B57" s="12" t="s">
        <v>3</v>
      </c>
      <c r="C57" s="36">
        <f t="shared" si="4"/>
        <v>112000</v>
      </c>
      <c r="D57" s="36">
        <v>112000</v>
      </c>
      <c r="E57" s="61"/>
      <c r="F57" s="61"/>
      <c r="G57" s="18"/>
      <c r="H57" s="81">
        <f t="shared" si="2"/>
        <v>0</v>
      </c>
    </row>
    <row r="58" spans="1:8" ht="25.5">
      <c r="A58" s="13"/>
      <c r="B58" s="12" t="s">
        <v>22</v>
      </c>
      <c r="C58" s="36">
        <f t="shared" si="4"/>
        <v>4200</v>
      </c>
      <c r="D58" s="36">
        <v>4200</v>
      </c>
      <c r="E58" s="61"/>
      <c r="F58" s="61"/>
      <c r="G58" s="18"/>
      <c r="H58" s="81">
        <f t="shared" si="2"/>
        <v>0</v>
      </c>
    </row>
    <row r="59" spans="1:8" ht="13.5">
      <c r="A59" s="13" t="s">
        <v>75</v>
      </c>
      <c r="B59" s="15" t="s">
        <v>82</v>
      </c>
      <c r="C59" s="41">
        <f t="shared" si="4"/>
        <v>2827</v>
      </c>
      <c r="D59" s="41">
        <f>SUM(D60:D61)</f>
        <v>2827</v>
      </c>
      <c r="E59" s="61"/>
      <c r="F59" s="61"/>
      <c r="G59" s="39">
        <f>G60+G61</f>
        <v>0</v>
      </c>
      <c r="H59" s="79">
        <f t="shared" si="2"/>
        <v>0</v>
      </c>
    </row>
    <row r="60" spans="1:8" ht="13.5">
      <c r="A60" s="7"/>
      <c r="B60" s="12" t="s">
        <v>4</v>
      </c>
      <c r="C60" s="36">
        <f t="shared" si="4"/>
        <v>2622</v>
      </c>
      <c r="D60" s="36">
        <v>2622</v>
      </c>
      <c r="E60" s="61"/>
      <c r="F60" s="61"/>
      <c r="G60" s="18"/>
      <c r="H60" s="81">
        <f t="shared" si="2"/>
        <v>0</v>
      </c>
    </row>
    <row r="61" spans="1:8" ht="13.5">
      <c r="A61" s="7"/>
      <c r="B61" s="12" t="s">
        <v>23</v>
      </c>
      <c r="C61" s="36">
        <f t="shared" si="4"/>
        <v>205</v>
      </c>
      <c r="D61" s="36">
        <v>205</v>
      </c>
      <c r="E61" s="61"/>
      <c r="F61" s="61"/>
      <c r="G61" s="18"/>
      <c r="H61" s="81">
        <f t="shared" si="2"/>
        <v>0</v>
      </c>
    </row>
    <row r="62" spans="1:8" ht="39">
      <c r="A62" s="13" t="s">
        <v>83</v>
      </c>
      <c r="B62" s="15" t="s">
        <v>87</v>
      </c>
      <c r="C62" s="41">
        <f t="shared" si="4"/>
        <v>250000</v>
      </c>
      <c r="D62" s="36"/>
      <c r="E62" s="67">
        <f>F62</f>
        <v>250000</v>
      </c>
      <c r="F62" s="65">
        <f>250000</f>
        <v>250000</v>
      </c>
      <c r="G62" s="76"/>
      <c r="H62" s="74">
        <f t="shared" si="2"/>
        <v>0</v>
      </c>
    </row>
    <row r="63" spans="1:8" ht="39">
      <c r="A63" s="13" t="s">
        <v>84</v>
      </c>
      <c r="B63" s="15" t="s">
        <v>88</v>
      </c>
      <c r="C63" s="41">
        <f t="shared" si="4"/>
        <v>490000</v>
      </c>
      <c r="D63" s="36"/>
      <c r="E63" s="67">
        <f>F63</f>
        <v>490000</v>
      </c>
      <c r="F63" s="65">
        <v>490000</v>
      </c>
      <c r="G63" s="76"/>
      <c r="H63" s="74">
        <f t="shared" si="2"/>
        <v>0</v>
      </c>
    </row>
    <row r="64" spans="1:8" ht="51.75">
      <c r="A64" s="13" t="s">
        <v>85</v>
      </c>
      <c r="B64" s="15" t="s">
        <v>89</v>
      </c>
      <c r="C64" s="41">
        <f t="shared" si="4"/>
        <v>440000</v>
      </c>
      <c r="D64" s="36"/>
      <c r="E64" s="67">
        <f>F64</f>
        <v>440000</v>
      </c>
      <c r="F64" s="65">
        <v>440000</v>
      </c>
      <c r="G64" s="76"/>
      <c r="H64" s="74">
        <f t="shared" si="2"/>
        <v>0</v>
      </c>
    </row>
    <row r="65" spans="1:8" ht="39">
      <c r="A65" s="13" t="s">
        <v>86</v>
      </c>
      <c r="B65" s="15" t="s">
        <v>90</v>
      </c>
      <c r="C65" s="41">
        <f t="shared" si="4"/>
        <v>500000</v>
      </c>
      <c r="D65" s="36"/>
      <c r="E65" s="67">
        <f>F65</f>
        <v>500000</v>
      </c>
      <c r="F65" s="66">
        <v>500000</v>
      </c>
      <c r="G65" s="76"/>
      <c r="H65" s="74">
        <f t="shared" si="2"/>
        <v>0</v>
      </c>
    </row>
    <row r="66" spans="1:9" s="3" customFormat="1" ht="30">
      <c r="A66" s="14" t="s">
        <v>76</v>
      </c>
      <c r="B66" s="11" t="s">
        <v>43</v>
      </c>
      <c r="C66" s="42">
        <f>D66</f>
        <v>37397</v>
      </c>
      <c r="D66" s="64">
        <f>D67</f>
        <v>37397</v>
      </c>
      <c r="E66" s="63"/>
      <c r="F66" s="63"/>
      <c r="G66" s="75">
        <f>G67</f>
        <v>0</v>
      </c>
      <c r="H66" s="77">
        <f t="shared" si="2"/>
        <v>0</v>
      </c>
      <c r="I66" s="82"/>
    </row>
    <row r="67" spans="1:8" ht="25.5">
      <c r="A67" s="19" t="s">
        <v>77</v>
      </c>
      <c r="B67" s="10" t="s">
        <v>36</v>
      </c>
      <c r="C67" s="43">
        <f>D67</f>
        <v>37397</v>
      </c>
      <c r="D67" s="43">
        <v>37397</v>
      </c>
      <c r="E67" s="61"/>
      <c r="F67" s="61"/>
      <c r="G67" s="76"/>
      <c r="H67" s="74">
        <f t="shared" si="2"/>
        <v>0</v>
      </c>
    </row>
    <row r="68" spans="1:8" s="3" customFormat="1" ht="30">
      <c r="A68" s="14" t="s">
        <v>78</v>
      </c>
      <c r="B68" s="11" t="s">
        <v>0</v>
      </c>
      <c r="C68" s="42">
        <f>D68</f>
        <v>1114913</v>
      </c>
      <c r="D68" s="42">
        <f>SUM(D70:D70)</f>
        <v>1114913</v>
      </c>
      <c r="E68" s="63"/>
      <c r="F68" s="63"/>
      <c r="G68" s="75">
        <f>G69</f>
        <v>174248.09999999998</v>
      </c>
      <c r="H68" s="77">
        <f t="shared" si="2"/>
        <v>15.628851757939854</v>
      </c>
    </row>
    <row r="69" spans="1:8" ht="13.5">
      <c r="A69" s="13" t="s">
        <v>79</v>
      </c>
      <c r="B69" s="15" t="s">
        <v>15</v>
      </c>
      <c r="C69" s="41">
        <f>C70</f>
        <v>1114913</v>
      </c>
      <c r="D69" s="41">
        <f>D70</f>
        <v>1114913</v>
      </c>
      <c r="E69" s="61"/>
      <c r="F69" s="61"/>
      <c r="G69" s="39">
        <f>G70</f>
        <v>174248.09999999998</v>
      </c>
      <c r="H69" s="79">
        <f t="shared" si="2"/>
        <v>15.628851757939854</v>
      </c>
    </row>
    <row r="70" spans="1:8" ht="62.25" customHeight="1">
      <c r="A70" s="6"/>
      <c r="B70" s="9" t="s">
        <v>42</v>
      </c>
      <c r="C70" s="36">
        <f>D70</f>
        <v>1114913</v>
      </c>
      <c r="D70" s="36">
        <v>1114913</v>
      </c>
      <c r="E70" s="61"/>
      <c r="F70" s="61"/>
      <c r="G70" s="18">
        <f>27399.71+31510.97+32758.73+21770.68+25309.84+35498.17</f>
        <v>174248.09999999998</v>
      </c>
      <c r="H70" s="81">
        <f t="shared" si="2"/>
        <v>15.628851757939854</v>
      </c>
    </row>
    <row r="71" spans="1:8" ht="15">
      <c r="A71" s="91" t="s">
        <v>13</v>
      </c>
      <c r="B71" s="91"/>
      <c r="C71" s="44">
        <f>D71+E71</f>
        <v>111580703</v>
      </c>
      <c r="D71" s="44">
        <f>D66+D16+D68+D14+D7</f>
        <v>78732703</v>
      </c>
      <c r="E71" s="44">
        <f>E66+E16+E68+E14+E7</f>
        <v>32848000</v>
      </c>
      <c r="F71" s="44">
        <f>F66+F16+F68+F14+F7</f>
        <v>32848000</v>
      </c>
      <c r="G71" s="44">
        <f>G66+G16+G68+G14+G7</f>
        <v>13960927.76</v>
      </c>
      <c r="H71" s="80">
        <f>(G71/C71)*100</f>
        <v>12.511955369200352</v>
      </c>
    </row>
    <row r="72" spans="1:4" ht="15" customHeight="1">
      <c r="A72" s="26"/>
      <c r="B72" s="26"/>
      <c r="C72" s="45"/>
      <c r="D72" s="45"/>
    </row>
    <row r="73" spans="1:6" ht="23.25" customHeight="1">
      <c r="A73" s="25"/>
      <c r="C73" s="24"/>
      <c r="F73" s="24"/>
    </row>
    <row r="74" spans="2:4" ht="12.75">
      <c r="B74" s="17"/>
      <c r="C74" s="16"/>
      <c r="D74" s="16"/>
    </row>
    <row r="75" spans="1:7" s="4" customFormat="1" ht="12.75">
      <c r="A75" s="1"/>
      <c r="B75" s="2"/>
      <c r="C75" s="23"/>
      <c r="D75" s="68"/>
      <c r="E75" s="1"/>
      <c r="F75" s="1"/>
      <c r="G75" s="1"/>
    </row>
    <row r="76" spans="1:7" s="4" customFormat="1" ht="12.75">
      <c r="A76" s="1"/>
      <c r="B76" s="2"/>
      <c r="C76" s="23"/>
      <c r="E76" s="1"/>
      <c r="F76" s="1"/>
      <c r="G76" s="1"/>
    </row>
    <row r="77" spans="1:7" s="4" customFormat="1" ht="12.75">
      <c r="A77" s="1"/>
      <c r="B77" s="2"/>
      <c r="C77" s="22"/>
      <c r="E77" s="1"/>
      <c r="F77" s="1"/>
      <c r="G77" s="1"/>
    </row>
  </sheetData>
  <sheetProtection/>
  <mergeCells count="10">
    <mergeCell ref="G5:G6"/>
    <mergeCell ref="H5:H6"/>
    <mergeCell ref="E1:F1"/>
    <mergeCell ref="E5:E6"/>
    <mergeCell ref="A3:F3"/>
    <mergeCell ref="A71:B71"/>
    <mergeCell ref="A5:A6"/>
    <mergeCell ref="B5:B6"/>
    <mergeCell ref="C5:C6"/>
    <mergeCell ref="D5:D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2020-03-26T13:17:01Z</cp:lastPrinted>
  <dcterms:created xsi:type="dcterms:W3CDTF">2014-01-17T10:52:16Z</dcterms:created>
  <dcterms:modified xsi:type="dcterms:W3CDTF">2020-03-31T13:08:48Z</dcterms:modified>
  <cp:category/>
  <cp:version/>
  <cp:contentType/>
  <cp:contentStatus/>
</cp:coreProperties>
</file>